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<sst xmlns="http://schemas.openxmlformats.org/spreadsheetml/2006/main" count="436" uniqueCount="145">
  <si>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</si>
  <si>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</si>
  <si>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</si>
  <si>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</si>
  <si>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</si>
  <si>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</si>
  <si>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</si>
  <si>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</si>
  <si>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</si>
  <si>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</si>
  <si>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</si>
  <si>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</si>
  <si>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</si>
  <si>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</si>
  <si>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</si>
  <si>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</si>
  <si>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</si>
  <si>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</si>
  <si>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</si>
  <si>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</si>
  <si>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</si>
  <si>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</si>
  <si>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</si>
  <si>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</si>
  <si>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</si>
  <si>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</si>
  <si>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</si>
  <si>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</si>
  <si>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</si>
  <si>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</si>
  <si>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</si>
  <si>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</si>
  <si>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</si>
  <si>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</si>
  <si>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</si>
  <si>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</si>
  <si>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</si>
  <si>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</si>
  <si>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</si>
  <si>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</si>
  <si>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</si>
  <si>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</si>
  <si>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</si>
  <si>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</si>
  <si>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</si>
  <si>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</si>
  <si>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</si>
  <si>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</si>
  <si>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</si>
  <si>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</si>
  <si>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</si>
  <si>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</si>
  <si>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</si>
  <si>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</si>
  <si>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</si>
  <si>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</si>
  <si>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</si>
  <si>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</si>
  <si>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</si>
  <si>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</si>
  <si>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</si>
  <si>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</si>
  <si>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</si>
  <si>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</si>
  <si>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</si>
  <si>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</si>
  <si>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</si>
  <si>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</si>
  <si>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</si>
  <si>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</si>
  <si>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</si>
  <si>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</si>
  <si>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</si>
  <si>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</si>
  <si>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</si>
  <si>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</si>
  <si>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</si>
  <si>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</si>
  <si>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</si>
  <si>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</si>
  <si>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</si>
  <si>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</si>
  <si>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</si>
  <si>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</si>
  <si>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</si>
  <si>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</si>
  <si>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</si>
  <si>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</si>
  <si>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</si>
  <si>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</si>
  <si>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</si>
  <si>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</si>
  <si>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</si>
  <si>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</si>
  <si>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</si>
  <si>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</si>
  <si>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</si>
  <si>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</si>
  <si>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</si>
  <si>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</si>
  <si>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</si>
  <si>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</si>
  <si>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</si>
  <si>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</si>
  <si>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</si>
  <si>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</si>
  <si>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</si>
  <si>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</si>
  <si>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</si>
  <si>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</si>
  <si>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</si>
  <si>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</si>
  <si>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</si>
  <si>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</si>
  <si>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</si>
  <si>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</si>
  <si>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</si>
  <si>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</si>
  <si>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</si>
  <si>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</si>
  <si>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</si>
  <si>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</si>
  <si>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</si>
  <si>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</si>
  <si>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Takst 2016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</si>
  <si>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</si>
  <si>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</si>
  <si>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</si>
  <si>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Dok.nr. 139437-15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</si>
  <si>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</si>
  <si>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</si>
  <si>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</si>
  <si>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</si>
  <si>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</si>
  <si>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</si>
  <si>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</si>
  <si>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</si>
  <si>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>§ 110-boformer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</si>
  <si>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</si>
  <si>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</si>
  <si>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</si>
  <si>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</si>
  <si>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</si>
  <si>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</si>
  <si>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Der er endnu ikke kommet opgørelse fra ministeriet om max.takster for betalind på plejecentre hvorfor der evt. kan komme lidt ændringer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</si>
</sst>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11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7" fillId="34" borderId="28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0" fontId="0" fillId="34" borderId="31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0" applyNumberFormat="1" applyFont="1" applyFill="1" applyBorder="1" applyAlignment="1">
      <alignment/>
    </xf>
    <xf numFmtId="10" fontId="0" fillId="33" borderId="13" xfId="40" applyNumberFormat="1" applyFont="1" applyFill="1" applyBorder="1" applyAlignment="1">
      <alignment/>
    </xf>
    <xf numFmtId="10" fontId="0" fillId="33" borderId="17" xfId="40" applyNumberFormat="1" applyFont="1" applyFill="1" applyBorder="1" applyAlignment="1">
      <alignment/>
    </xf>
    <xf numFmtId="3" fontId="1" fillId="35" borderId="37" xfId="0" applyNumberFormat="1" applyFont="1" applyFill="1" applyBorder="1" applyAlignment="1">
      <alignment horizontal="center" wrapText="1"/>
    </xf>
    <xf numFmtId="3" fontId="1" fillId="35" borderId="38" xfId="0" applyNumberFormat="1" applyFont="1" applyFill="1" applyBorder="1" applyAlignment="1">
      <alignment horizontal="center" wrapText="1"/>
    </xf>
    <xf numFmtId="2" fontId="0" fillId="36" borderId="39" xfId="4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6" borderId="39" xfId="40" applyNumberFormat="1" applyFont="1" applyFill="1" applyBorder="1" applyAlignment="1">
      <alignment/>
    </xf>
    <xf numFmtId="2" fontId="0" fillId="36" borderId="41" xfId="40" applyNumberFormat="1" applyFont="1" applyFill="1" applyBorder="1" applyAlignment="1">
      <alignment/>
    </xf>
    <xf numFmtId="2" fontId="0" fillId="36" borderId="38" xfId="40" applyNumberFormat="1" applyFont="1" applyFill="1" applyBorder="1" applyAlignment="1">
      <alignment/>
    </xf>
    <xf numFmtId="3" fontId="0" fillId="33" borderId="11" xfId="40" applyNumberFormat="1" applyFont="1" applyFill="1" applyBorder="1" applyAlignment="1">
      <alignment/>
    </xf>
    <xf numFmtId="3" fontId="0" fillId="33" borderId="10" xfId="40" applyNumberFormat="1" applyFont="1" applyFill="1" applyBorder="1" applyAlignment="1">
      <alignment/>
    </xf>
    <xf numFmtId="3" fontId="0" fillId="33" borderId="12" xfId="40" applyNumberFormat="1" applyFont="1" applyFill="1" applyBorder="1" applyAlignment="1">
      <alignment/>
    </xf>
    <xf numFmtId="3" fontId="0" fillId="33" borderId="13" xfId="40" applyNumberFormat="1" applyFont="1" applyFill="1" applyBorder="1" applyAlignment="1">
      <alignment/>
    </xf>
    <xf numFmtId="3" fontId="0" fillId="33" borderId="16" xfId="40" applyNumberFormat="1" applyFont="1" applyFill="1" applyBorder="1" applyAlignment="1">
      <alignment/>
    </xf>
    <xf numFmtId="179" fontId="0" fillId="33" borderId="13" xfId="40" applyNumberFormat="1" applyFont="1" applyFill="1" applyBorder="1" applyAlignment="1">
      <alignment/>
    </xf>
    <xf numFmtId="3" fontId="0" fillId="36" borderId="41" xfId="40" applyNumberFormat="1" applyFont="1" applyFill="1" applyBorder="1" applyAlignment="1">
      <alignment/>
    </xf>
    <xf numFmtId="10" fontId="0" fillId="36" borderId="42" xfId="40" applyNumberFormat="1" applyFont="1" applyFill="1" applyBorder="1" applyAlignment="1">
      <alignment/>
    </xf>
    <xf numFmtId="10" fontId="0" fillId="33" borderId="43" xfId="4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0" fontId="0" fillId="33" borderId="30" xfId="40" applyNumberFormat="1" applyFont="1" applyFill="1" applyBorder="1" applyAlignment="1">
      <alignment/>
    </xf>
    <xf numFmtId="177" fontId="1" fillId="0" borderId="18" xfId="4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11" xfId="40" applyNumberFormat="1" applyFont="1" applyFill="1" applyBorder="1" applyAlignment="1">
      <alignment horizontal="center"/>
    </xf>
    <xf numFmtId="3" fontId="2" fillId="34" borderId="11" xfId="4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3" fontId="2" fillId="34" borderId="32" xfId="4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3" fontId="2" fillId="34" borderId="27" xfId="4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79" fontId="2" fillId="34" borderId="27" xfId="4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0" applyNumberFormat="1" applyFont="1" applyFill="1" applyBorder="1" applyAlignment="1">
      <alignment horizontal="center"/>
    </xf>
    <xf numFmtId="179" fontId="2" fillId="34" borderId="32" xfId="4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10" fontId="0" fillId="36" borderId="41" xfId="40" applyNumberFormat="1" applyFont="1" applyFill="1" applyBorder="1" applyAlignment="1">
      <alignment/>
    </xf>
    <xf numFmtId="10" fontId="0" fillId="33" borderId="10" xfId="40" applyNumberFormat="1" applyFont="1" applyFill="1" applyBorder="1" applyAlignment="1">
      <alignment/>
    </xf>
    <xf numFmtId="3" fontId="0" fillId="33" borderId="17" xfId="40" applyNumberFormat="1" applyFont="1" applyFill="1" applyBorder="1" applyAlignment="1">
      <alignment/>
    </xf>
    <xf numFmtId="3" fontId="0" fillId="33" borderId="25" xfId="40" applyNumberFormat="1" applyFont="1" applyFill="1" applyBorder="1" applyAlignment="1">
      <alignment/>
    </xf>
    <xf numFmtId="1" fontId="0" fillId="36" borderId="39" xfId="40" applyNumberFormat="1" applyFont="1" applyFill="1" applyBorder="1" applyAlignment="1">
      <alignment/>
    </xf>
    <xf numFmtId="3" fontId="0" fillId="36" borderId="39" xfId="40" applyNumberFormat="1" applyFont="1" applyFill="1" applyBorder="1" applyAlignment="1">
      <alignment/>
    </xf>
    <xf numFmtId="3" fontId="0" fillId="36" borderId="38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1">
      <selection activeCell="Y89" sqref="Y8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9" width="14.28125" style="0" customWidth="1"/>
    <col min="20" max="21" width="0" style="0" hidden="1" customWidth="1"/>
  </cols>
  <sheetData>
    <row r="1" spans="1:19" ht="15.75">
      <c r="A1" s="247" t="s">
        <v>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9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88" t="s">
        <v>24</v>
      </c>
      <c r="P4" s="126" t="s">
        <v>24</v>
      </c>
      <c r="Q4" s="126" t="s">
        <v>24</v>
      </c>
      <c r="R4" s="126" t="s">
        <v>24</v>
      </c>
      <c r="S4" s="167" t="s">
        <v>124</v>
      </c>
    </row>
    <row r="5" spans="1:19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62">
        <v>2012</v>
      </c>
      <c r="P5" s="163">
        <v>2013</v>
      </c>
      <c r="Q5" s="127">
        <v>2014</v>
      </c>
      <c r="R5" s="127">
        <v>2015</v>
      </c>
      <c r="S5" s="168" t="s">
        <v>129</v>
      </c>
    </row>
    <row r="6" spans="1:19" ht="25.5">
      <c r="A6" s="5" t="s">
        <v>120</v>
      </c>
      <c r="B6" s="4"/>
      <c r="C6" s="189" t="s">
        <v>101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8">
        <v>0.029</v>
      </c>
      <c r="P6" s="129">
        <v>0.016</v>
      </c>
      <c r="Q6" s="164">
        <v>0.018</v>
      </c>
      <c r="R6" s="164">
        <v>0.0179</v>
      </c>
      <c r="S6" s="172">
        <v>0.0092</v>
      </c>
    </row>
    <row r="7" spans="1:19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87"/>
      <c r="O7" s="136"/>
      <c r="P7" s="129"/>
      <c r="Q7" s="142"/>
      <c r="R7" s="142"/>
      <c r="S7" s="172"/>
    </row>
    <row r="8" spans="1:21" ht="12.75">
      <c r="A8" s="3" t="s">
        <v>130</v>
      </c>
      <c r="B8" s="4"/>
      <c r="C8" s="4" t="s">
        <v>119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30">
        <v>47</v>
      </c>
      <c r="P8" s="131">
        <f>O8+(O8*$P$6)</f>
        <v>47.752</v>
      </c>
      <c r="Q8" s="139">
        <f>P8+(P8*Q6)</f>
        <v>48.611536</v>
      </c>
      <c r="R8" s="139">
        <v>50</v>
      </c>
      <c r="S8" s="239">
        <v>47</v>
      </c>
      <c r="T8" s="245" t="s">
        <v>133</v>
      </c>
      <c r="U8" s="246"/>
    </row>
    <row r="9" spans="1:21" ht="12.75">
      <c r="A9" s="3" t="s">
        <v>131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30"/>
      <c r="P9" s="131"/>
      <c r="Q9" s="139"/>
      <c r="R9" s="139"/>
      <c r="S9" s="239">
        <v>51</v>
      </c>
      <c r="T9" s="243"/>
      <c r="U9" s="246"/>
    </row>
    <row r="10" spans="1:21" ht="12.75">
      <c r="A10" s="3" t="s">
        <v>30</v>
      </c>
      <c r="B10" s="4"/>
      <c r="C10" s="4" t="s">
        <v>119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30">
        <f>N10+(N10*O$6)</f>
        <v>10.29</v>
      </c>
      <c r="P10" s="131">
        <f>O10+(O10*$P$6)</f>
        <v>10.45464</v>
      </c>
      <c r="Q10" s="139">
        <v>10</v>
      </c>
      <c r="R10" s="139">
        <v>11</v>
      </c>
      <c r="S10" s="239">
        <v>13</v>
      </c>
      <c r="T10" s="243"/>
      <c r="U10" s="246"/>
    </row>
    <row r="11" spans="1:21" ht="12.75">
      <c r="A11" s="11" t="s">
        <v>132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2"/>
      <c r="P11" s="131"/>
      <c r="Q11" s="139"/>
      <c r="R11" s="139"/>
      <c r="S11" s="239">
        <v>17</v>
      </c>
      <c r="T11" s="243"/>
      <c r="U11" s="246"/>
    </row>
    <row r="12" spans="1:19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30"/>
      <c r="P12" s="133"/>
      <c r="Q12" s="133"/>
      <c r="R12" s="133"/>
      <c r="S12" s="173"/>
    </row>
    <row r="13" spans="1:19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30"/>
      <c r="P13" s="134"/>
      <c r="Q13" s="134"/>
      <c r="R13" s="134"/>
      <c r="S13" s="174"/>
    </row>
    <row r="14" spans="1:19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5"/>
      <c r="P14" s="131"/>
      <c r="Q14" s="133"/>
      <c r="R14" s="133"/>
      <c r="S14" s="173"/>
    </row>
    <row r="15" spans="1:19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6">
        <v>0.029</v>
      </c>
      <c r="P15" s="129">
        <v>0.016</v>
      </c>
      <c r="Q15" s="142">
        <v>0.018</v>
      </c>
      <c r="R15" s="142">
        <v>0.0179</v>
      </c>
      <c r="S15" s="172">
        <v>0.0092</v>
      </c>
    </row>
    <row r="16" spans="1:19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30"/>
      <c r="P16" s="131"/>
      <c r="Q16" s="139"/>
      <c r="R16" s="139"/>
      <c r="S16" s="169"/>
    </row>
    <row r="17" spans="1:20" ht="12.75">
      <c r="A17" s="3" t="s">
        <v>109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7">
        <f>N17+(N17*O$15)</f>
        <v>16.464</v>
      </c>
      <c r="P17" s="131">
        <f>O17+(O17*$P$15)</f>
        <v>16.727424</v>
      </c>
      <c r="Q17" s="139">
        <f>P17+(P17*$Q$6)</f>
        <v>17.028517632</v>
      </c>
      <c r="R17" s="139">
        <f>Q17+(Q17*R6)</f>
        <v>17.3333280976128</v>
      </c>
      <c r="S17" s="240">
        <v>18</v>
      </c>
      <c r="T17" s="1"/>
    </row>
    <row r="18" spans="1:20" ht="12.75">
      <c r="A18" s="3" t="s">
        <v>110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7"/>
      <c r="P18" s="138"/>
      <c r="Q18" s="139"/>
      <c r="R18" s="139"/>
      <c r="S18" s="240"/>
      <c r="T18" s="1"/>
    </row>
    <row r="19" spans="1:20" ht="12.75">
      <c r="A19" s="3" t="s">
        <v>111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7">
        <f>N19+(N19*O$15)</f>
        <v>47.334</v>
      </c>
      <c r="P19" s="131">
        <f>O19+(O19*$P$15)</f>
        <v>48.09134400000001</v>
      </c>
      <c r="Q19" s="139">
        <f>P19+(P19*$Q$6)</f>
        <v>48.956988192000004</v>
      </c>
      <c r="R19" s="139">
        <f>Q19+(Q19*R6)</f>
        <v>49.8333182806368</v>
      </c>
      <c r="S19" s="240">
        <v>50</v>
      </c>
      <c r="T19" s="1"/>
    </row>
    <row r="20" spans="1:20" ht="12.75">
      <c r="A20" s="3" t="s">
        <v>112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7">
        <f>N20+(N20*O$15)</f>
        <v>10.29</v>
      </c>
      <c r="P20" s="131">
        <f>O20+(O20*$P$15)</f>
        <v>10.45464</v>
      </c>
      <c r="Q20" s="139">
        <f>P20+(P20*$Q$6)-1</f>
        <v>9.64282352</v>
      </c>
      <c r="R20" s="139">
        <v>11</v>
      </c>
      <c r="S20" s="240">
        <v>11</v>
      </c>
      <c r="T20" s="1"/>
    </row>
    <row r="21" spans="1:20" ht="12.75">
      <c r="A21" s="3" t="s">
        <v>113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7">
        <f>N21+(N21*O$15)</f>
        <v>6.174</v>
      </c>
      <c r="P21" s="131">
        <f>O21+(O21*$P$15)</f>
        <v>6.272784000000001</v>
      </c>
      <c r="Q21" s="139">
        <f>P21+(P21*$Q$6)</f>
        <v>6.385694112</v>
      </c>
      <c r="R21" s="139">
        <f>Q21+(Q21*R6)</f>
        <v>6.499998036604801</v>
      </c>
      <c r="S21" s="240">
        <v>7</v>
      </c>
      <c r="T21" s="1"/>
    </row>
    <row r="22" spans="1:20" ht="12.75">
      <c r="A22" s="3" t="s">
        <v>114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7">
        <v>22</v>
      </c>
      <c r="P22" s="131">
        <f>O22+(O22*$P$15)</f>
        <v>22.352</v>
      </c>
      <c r="Q22" s="139">
        <f>P22+(P22*$Q$6)</f>
        <v>22.754336</v>
      </c>
      <c r="R22" s="139">
        <f>Q22+(Q22*R6)</f>
        <v>23.161638614399997</v>
      </c>
      <c r="S22" s="240">
        <v>24</v>
      </c>
      <c r="T22" s="1"/>
    </row>
    <row r="23" spans="1:20" ht="12.75">
      <c r="A23" s="3" t="s">
        <v>115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7">
        <f>N23+(N23*O$15)</f>
        <v>6.174</v>
      </c>
      <c r="P23" s="131">
        <f>O23+(O23*$P$15)</f>
        <v>6.272784000000001</v>
      </c>
      <c r="Q23" s="139">
        <f>P23+(P23*$Q$6)</f>
        <v>6.385694112</v>
      </c>
      <c r="R23" s="139">
        <f>Q23+(Q23*R6)</f>
        <v>6.499998036604801</v>
      </c>
      <c r="S23" s="240">
        <v>7</v>
      </c>
      <c r="T23" s="1"/>
    </row>
    <row r="24" spans="1:20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30"/>
      <c r="P24" s="131"/>
      <c r="Q24" s="139"/>
      <c r="R24" s="139"/>
      <c r="S24" s="240"/>
      <c r="T24" s="1"/>
    </row>
    <row r="25" spans="1:20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30"/>
      <c r="P25" s="131"/>
      <c r="Q25" s="139"/>
      <c r="R25" s="139"/>
      <c r="S25" s="240"/>
      <c r="T25" s="1"/>
    </row>
    <row r="26" spans="1:20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40">
        <v>107.25</v>
      </c>
      <c r="P26" s="131">
        <f>O26+(O26*$P$15)</f>
        <v>108.966</v>
      </c>
      <c r="Q26" s="139">
        <f>SUM(Q17:Q23)</f>
        <v>111.154053568</v>
      </c>
      <c r="R26" s="139">
        <v>113</v>
      </c>
      <c r="S26" s="240">
        <v>114</v>
      </c>
      <c r="T26" s="1"/>
    </row>
    <row r="27" spans="1:20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40">
        <f>O26*365/12</f>
        <v>3262.1875</v>
      </c>
      <c r="P27" s="131">
        <f>O27+(O27*$P$15)</f>
        <v>3314.3825</v>
      </c>
      <c r="Q27" s="139">
        <v>3374</v>
      </c>
      <c r="R27" s="139">
        <v>3425</v>
      </c>
      <c r="S27" s="240">
        <v>3478</v>
      </c>
      <c r="T27" s="35" t="s">
        <v>39</v>
      </c>
    </row>
    <row r="28" spans="1:19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40">
        <f>O26*30</f>
        <v>3217.5</v>
      </c>
      <c r="P28" s="131">
        <f>O28+(O28*$P$15)</f>
        <v>3268.98</v>
      </c>
      <c r="Q28" s="139">
        <f>Q27*12/365*30</f>
        <v>3327.780821917808</v>
      </c>
      <c r="R28" s="139">
        <f>R27*12/365*30</f>
        <v>3378.0821917808216</v>
      </c>
      <c r="S28" s="240">
        <v>3421</v>
      </c>
    </row>
    <row r="29" spans="1:19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1">
        <f>O26*31</f>
        <v>3324.75</v>
      </c>
      <c r="P29" s="131">
        <f>O29+(O29*$P$15)</f>
        <v>3377.946</v>
      </c>
      <c r="Q29" s="134">
        <f>Q27*12/365*31</f>
        <v>3438.706849315068</v>
      </c>
      <c r="R29" s="134">
        <f>R27*12/365*31</f>
        <v>3490.6849315068494</v>
      </c>
      <c r="S29" s="241">
        <v>3535</v>
      </c>
    </row>
    <row r="30" spans="1:19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5"/>
      <c r="P30" s="133"/>
      <c r="Q30" s="133"/>
      <c r="R30" s="133"/>
      <c r="S30" s="173"/>
    </row>
    <row r="31" spans="1:19" ht="12.75">
      <c r="A31" s="5" t="s">
        <v>9</v>
      </c>
      <c r="B31" s="4"/>
      <c r="C31" s="4" t="s">
        <v>116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6">
        <v>0.029</v>
      </c>
      <c r="P31" s="142">
        <v>0.016</v>
      </c>
      <c r="Q31" s="142">
        <v>0.018</v>
      </c>
      <c r="R31" s="142">
        <v>0.0179</v>
      </c>
      <c r="S31" s="172">
        <v>0.0092</v>
      </c>
    </row>
    <row r="32" spans="1:19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30"/>
      <c r="P32" s="139"/>
      <c r="Q32" s="139"/>
      <c r="R32" s="139"/>
      <c r="S32" s="169"/>
    </row>
    <row r="33" spans="1:19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30"/>
      <c r="P33" s="131"/>
      <c r="Q33" s="139"/>
      <c r="R33" s="139"/>
      <c r="S33" s="169"/>
    </row>
    <row r="34" spans="1:19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30"/>
      <c r="P34" s="131"/>
      <c r="Q34" s="139"/>
      <c r="R34" s="139"/>
      <c r="S34" s="169"/>
    </row>
    <row r="35" spans="1:20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30">
        <v>36</v>
      </c>
      <c r="P35" s="131">
        <f>O35+(O35*$P$31)</f>
        <v>36.576</v>
      </c>
      <c r="Q35" s="175">
        <f>P35+(P35*$Q$31)</f>
        <v>37.234368</v>
      </c>
      <c r="R35" s="175">
        <f>Q35+(Q35*R31)</f>
        <v>37.9008631872</v>
      </c>
      <c r="S35" s="240">
        <v>38</v>
      </c>
      <c r="T35" t="s">
        <v>36</v>
      </c>
    </row>
    <row r="36" spans="1:20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30">
        <v>225</v>
      </c>
      <c r="P36" s="131">
        <f>O36+(O36*$P$31)</f>
        <v>228.6</v>
      </c>
      <c r="Q36" s="175">
        <f>P36+(P36*$Q$31)</f>
        <v>232.7148</v>
      </c>
      <c r="R36" s="175">
        <f>Q36+(Q36*R31)</f>
        <v>236.88039492</v>
      </c>
      <c r="S36" s="240">
        <v>239</v>
      </c>
      <c r="T36" t="s">
        <v>37</v>
      </c>
    </row>
    <row r="37" spans="1:20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30">
        <v>66</v>
      </c>
      <c r="P37" s="139">
        <f>O37+(O37*$P$31)</f>
        <v>67.056</v>
      </c>
      <c r="Q37" s="175">
        <f>P37+(P37*$Q$31)</f>
        <v>68.263008</v>
      </c>
      <c r="R37" s="175">
        <f>Q37+4+(Q37*R31)</f>
        <v>73.4849158432</v>
      </c>
      <c r="S37" s="240">
        <v>74</v>
      </c>
      <c r="T37" s="35" t="s">
        <v>125</v>
      </c>
    </row>
    <row r="38" spans="1:19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30"/>
      <c r="P38" s="139"/>
      <c r="Q38" s="175"/>
      <c r="R38" s="175"/>
      <c r="S38" s="240"/>
    </row>
    <row r="39" spans="1:20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2">
        <v>24</v>
      </c>
      <c r="P39" s="134">
        <f>O39+(O39*$P$31)</f>
        <v>24.384</v>
      </c>
      <c r="Q39" s="177">
        <f>P39+(P39*$Q$31)</f>
        <v>24.822912</v>
      </c>
      <c r="R39" s="177">
        <f>Q39+(Q39*R31)</f>
        <v>25.2672421248</v>
      </c>
      <c r="S39" s="241">
        <v>26</v>
      </c>
      <c r="T39" t="s">
        <v>55</v>
      </c>
    </row>
    <row r="40" spans="1:19" ht="24.75" customHeight="1">
      <c r="A40" s="5" t="s">
        <v>104</v>
      </c>
      <c r="B40" s="4"/>
      <c r="C40" s="4" t="s">
        <v>117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8">
        <v>0.029</v>
      </c>
      <c r="P40" s="164">
        <v>0.016</v>
      </c>
      <c r="Q40" s="128">
        <v>0.018</v>
      </c>
      <c r="R40" s="236">
        <v>0.0179</v>
      </c>
      <c r="S40" s="235">
        <v>0.0092</v>
      </c>
    </row>
    <row r="41" spans="1:19" ht="24" customHeight="1">
      <c r="A41" s="242" t="s">
        <v>103</v>
      </c>
      <c r="B41" s="243"/>
      <c r="C41" s="244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30"/>
      <c r="P41" s="131"/>
      <c r="Q41" s="137"/>
      <c r="R41" s="138"/>
      <c r="S41" s="169"/>
    </row>
    <row r="42" spans="1:19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30"/>
      <c r="P42" s="131"/>
      <c r="Q42" s="137"/>
      <c r="R42" s="138"/>
      <c r="S42" s="169"/>
    </row>
    <row r="43" spans="1:19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30">
        <f>N43+(N43*2.2%)</f>
        <v>10.22</v>
      </c>
      <c r="P43" s="139">
        <f>O43+(O43*$P$31)</f>
        <v>10.38352</v>
      </c>
      <c r="Q43" s="137">
        <f>P43+(P43*$Q$31)</f>
        <v>10.570423360000001</v>
      </c>
      <c r="R43" s="138">
        <f>Q43+(Q43*R31)</f>
        <v>10.759633938144</v>
      </c>
      <c r="S43" s="240">
        <v>11</v>
      </c>
    </row>
    <row r="44" spans="1:19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2">
        <f>N44+(N44*2.9%)</f>
        <v>107.016</v>
      </c>
      <c r="P44" s="134">
        <f>O44+(O44*$P$31)</f>
        <v>108.728256</v>
      </c>
      <c r="Q44" s="237">
        <f>P44+(P44*$Q$31)</f>
        <v>110.685364608</v>
      </c>
      <c r="R44" s="178">
        <f>Q44+(Q44*R31)</f>
        <v>112.66663263448321</v>
      </c>
      <c r="S44" s="241">
        <v>114</v>
      </c>
    </row>
    <row r="45" spans="1:19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5"/>
      <c r="P45" s="143"/>
      <c r="Q45" s="179"/>
      <c r="R45" s="176"/>
      <c r="S45" s="173"/>
    </row>
    <row r="46" spans="1:19" ht="12.75">
      <c r="A46" s="5" t="s">
        <v>10</v>
      </c>
      <c r="B46" s="4"/>
      <c r="C46" s="4" t="s">
        <v>118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6">
        <v>0.029</v>
      </c>
      <c r="P46" s="142">
        <v>0.016</v>
      </c>
      <c r="Q46" s="136">
        <v>0.018</v>
      </c>
      <c r="R46" s="129">
        <v>0.0179</v>
      </c>
      <c r="S46" s="172">
        <v>0.0092</v>
      </c>
    </row>
    <row r="47" spans="1:19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30"/>
      <c r="P47" s="131"/>
      <c r="Q47" s="137"/>
      <c r="R47" s="138"/>
      <c r="S47" s="169"/>
    </row>
    <row r="48" spans="1:19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30">
        <f>N48+(N48*2.9%)</f>
        <v>6.174</v>
      </c>
      <c r="P48" s="139">
        <f>O48+(O48*$P$31)</f>
        <v>6.272784000000001</v>
      </c>
      <c r="Q48" s="137">
        <f>P48+(P48*$Q$31)</f>
        <v>6.385694112</v>
      </c>
      <c r="R48" s="138">
        <f>Q48+(Q48*R31)</f>
        <v>6.499998036604801</v>
      </c>
      <c r="S48" s="240">
        <v>7</v>
      </c>
    </row>
    <row r="49" spans="1:19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30">
        <f>N49+(N49*2.9%)</f>
        <v>47.334</v>
      </c>
      <c r="P49" s="139">
        <f>O49+(O49*$P$31)</f>
        <v>48.09134400000001</v>
      </c>
      <c r="Q49" s="137">
        <f>P49+(P49*$Q$31)</f>
        <v>48.956988192000004</v>
      </c>
      <c r="R49" s="138">
        <f>Q49+(Q49*R31)</f>
        <v>49.8333182806368</v>
      </c>
      <c r="S49" s="240">
        <v>50</v>
      </c>
    </row>
    <row r="50" spans="1:19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30">
        <f>N50+(N50*2.9%)</f>
        <v>10.29</v>
      </c>
      <c r="P50" s="139">
        <f>O50+(O50*$P$31)</f>
        <v>10.45464</v>
      </c>
      <c r="Q50" s="137">
        <v>10</v>
      </c>
      <c r="R50" s="138">
        <v>11</v>
      </c>
      <c r="S50" s="240">
        <v>11</v>
      </c>
    </row>
    <row r="51" spans="1:19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30">
        <f>N51+(N51*2.9%)</f>
        <v>6.174</v>
      </c>
      <c r="P51" s="139">
        <f>O51+(O51*$P$31)</f>
        <v>6.272784000000001</v>
      </c>
      <c r="Q51" s="137">
        <f>P51+(P51*$Q$31)</f>
        <v>6.385694112</v>
      </c>
      <c r="R51" s="238">
        <v>6</v>
      </c>
      <c r="S51" s="240">
        <v>7</v>
      </c>
    </row>
    <row r="52" spans="1:19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30"/>
      <c r="P52" s="139"/>
      <c r="Q52" s="130"/>
      <c r="R52" s="131"/>
      <c r="S52" s="240"/>
    </row>
    <row r="53" spans="1:19" ht="12.75">
      <c r="A53" s="11" t="s">
        <v>16</v>
      </c>
      <c r="B53" s="10"/>
      <c r="C53" s="10" t="s">
        <v>119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2">
        <f>N53+(N53*2.2%)</f>
        <v>69.496</v>
      </c>
      <c r="P53" s="180">
        <v>70</v>
      </c>
      <c r="Q53" s="132">
        <f>SUM(Q48:Q51)</f>
        <v>71.728376416</v>
      </c>
      <c r="R53" s="180">
        <f>SUM(R48:R51)</f>
        <v>73.33331631724161</v>
      </c>
      <c r="S53" s="241">
        <v>74</v>
      </c>
    </row>
    <row r="54" spans="1:19" ht="12.75">
      <c r="A54" s="17"/>
      <c r="B54" s="2"/>
      <c r="C54" s="170"/>
      <c r="D54" s="17"/>
      <c r="E54" s="2"/>
      <c r="F54" s="2"/>
      <c r="G54" s="2"/>
      <c r="H54" s="2"/>
      <c r="I54" s="36"/>
      <c r="J54" s="29" t="s">
        <v>11</v>
      </c>
      <c r="K54" s="36"/>
      <c r="L54" s="184"/>
      <c r="M54" s="43" t="s">
        <v>11</v>
      </c>
      <c r="N54" s="51"/>
      <c r="O54" s="135"/>
      <c r="P54" s="143"/>
      <c r="Q54" s="135"/>
      <c r="R54" s="133"/>
      <c r="S54" s="181"/>
    </row>
    <row r="55" spans="1:19" ht="12.75">
      <c r="A55" s="3"/>
      <c r="B55" s="4"/>
      <c r="C55" s="185" t="s">
        <v>135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6">
        <v>0.029</v>
      </c>
      <c r="P55" s="129">
        <v>0.016</v>
      </c>
      <c r="Q55" s="136">
        <v>0.018</v>
      </c>
      <c r="R55" s="186">
        <v>0.0179</v>
      </c>
      <c r="S55" s="172">
        <v>0.0092</v>
      </c>
    </row>
    <row r="56" spans="1:19" ht="13.5" thickBot="1">
      <c r="A56" s="11"/>
      <c r="B56" s="10"/>
      <c r="C56" s="171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66"/>
      <c r="P56" s="165"/>
      <c r="Q56" s="166"/>
      <c r="R56" s="183"/>
      <c r="S56" s="182"/>
    </row>
    <row r="57" spans="1:1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35"/>
    </row>
    <row r="58" spans="1:2" ht="12.75" hidden="1">
      <c r="A58" t="s">
        <v>43</v>
      </c>
      <c r="B58" s="35" t="s">
        <v>126</v>
      </c>
    </row>
    <row r="59" ht="12.75" hidden="1">
      <c r="B59" s="35" t="s">
        <v>134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127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96</v>
      </c>
    </row>
    <row r="72" ht="12.75" hidden="1"/>
    <row r="73" spans="1:2" ht="12.75" hidden="1">
      <c r="A73" t="s">
        <v>65</v>
      </c>
      <c r="B73" t="s">
        <v>102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97</v>
      </c>
    </row>
    <row r="81" ht="12.75" hidden="1"/>
    <row r="82" spans="1:2" ht="12.75" hidden="1">
      <c r="A82" t="s">
        <v>66</v>
      </c>
      <c r="B82" s="35" t="s">
        <v>108</v>
      </c>
    </row>
    <row r="83" ht="12.75" hidden="1">
      <c r="B83" s="35" t="s">
        <v>121</v>
      </c>
    </row>
    <row r="84" ht="12.75">
      <c r="A84" s="35" t="s">
        <v>128</v>
      </c>
    </row>
    <row r="85" ht="12.75">
      <c r="A85" t="s">
        <v>144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25" width="9.421875" style="0" customWidth="1"/>
  </cols>
  <sheetData>
    <row r="1" spans="1:25" ht="16.5" thickBot="1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6.5" customHeight="1" thickBot="1">
      <c r="A2" s="57"/>
      <c r="B2" s="58"/>
      <c r="C2" s="59"/>
      <c r="D2" s="254" t="s">
        <v>74</v>
      </c>
      <c r="E2" s="254"/>
      <c r="F2" s="254"/>
      <c r="G2" s="255"/>
      <c r="H2" s="248" t="s">
        <v>75</v>
      </c>
      <c r="I2" s="256"/>
      <c r="J2" s="256"/>
      <c r="K2" s="248" t="s">
        <v>76</v>
      </c>
      <c r="L2" s="249"/>
      <c r="M2" s="250"/>
      <c r="N2" s="253" t="s">
        <v>95</v>
      </c>
      <c r="O2" s="249"/>
      <c r="P2" s="250"/>
      <c r="Q2" s="253" t="s">
        <v>98</v>
      </c>
      <c r="R2" s="249"/>
      <c r="S2" s="250"/>
      <c r="T2" s="253" t="s">
        <v>105</v>
      </c>
      <c r="U2" s="249"/>
      <c r="V2" s="250"/>
      <c r="W2" s="260" t="s">
        <v>122</v>
      </c>
      <c r="X2" s="261"/>
      <c r="Y2" s="262"/>
    </row>
    <row r="3" spans="1:25" ht="13.5" thickBot="1">
      <c r="A3" s="88"/>
      <c r="B3" s="89"/>
      <c r="C3" s="90"/>
      <c r="D3" s="220" t="s">
        <v>77</v>
      </c>
      <c r="E3" s="220" t="s">
        <v>78</v>
      </c>
      <c r="F3" s="220" t="s">
        <v>79</v>
      </c>
      <c r="G3" s="221" t="s">
        <v>80</v>
      </c>
      <c r="H3" s="222" t="s">
        <v>78</v>
      </c>
      <c r="I3" s="223" t="s">
        <v>79</v>
      </c>
      <c r="J3" s="223" t="s">
        <v>80</v>
      </c>
      <c r="K3" s="222" t="s">
        <v>78</v>
      </c>
      <c r="L3" s="61" t="s">
        <v>79</v>
      </c>
      <c r="M3" s="61"/>
      <c r="N3" s="60" t="s">
        <v>78</v>
      </c>
      <c r="O3" s="61" t="s">
        <v>79</v>
      </c>
      <c r="P3" s="61"/>
      <c r="Q3" s="60" t="s">
        <v>78</v>
      </c>
      <c r="R3" s="61" t="s">
        <v>100</v>
      </c>
      <c r="S3" s="61"/>
      <c r="T3" s="60" t="s">
        <v>106</v>
      </c>
      <c r="U3" s="61" t="s">
        <v>107</v>
      </c>
      <c r="V3" s="61"/>
      <c r="W3" s="146" t="s">
        <v>78</v>
      </c>
      <c r="X3" s="147" t="s">
        <v>123</v>
      </c>
      <c r="Y3" s="157"/>
    </row>
    <row r="4" spans="1:25" ht="12.75">
      <c r="A4" s="62"/>
      <c r="B4" s="63"/>
      <c r="C4" s="64"/>
      <c r="D4" s="228"/>
      <c r="E4" s="228"/>
      <c r="F4" s="228"/>
      <c r="G4" s="228"/>
      <c r="H4" s="218"/>
      <c r="I4" s="219"/>
      <c r="J4" s="219"/>
      <c r="K4" s="218"/>
      <c r="L4" s="66"/>
      <c r="M4" s="66"/>
      <c r="N4" s="65"/>
      <c r="O4" s="66"/>
      <c r="P4" s="66"/>
      <c r="Q4" s="65"/>
      <c r="R4" s="66"/>
      <c r="S4" s="66"/>
      <c r="T4" s="65"/>
      <c r="U4" s="66"/>
      <c r="V4" s="66"/>
      <c r="W4" s="148"/>
      <c r="X4" s="149"/>
      <c r="Y4" s="158"/>
    </row>
    <row r="5" spans="1:25" ht="13.5" customHeight="1" thickBot="1">
      <c r="A5" s="224" t="s">
        <v>137</v>
      </c>
      <c r="B5" s="63"/>
      <c r="C5" s="64"/>
      <c r="D5" s="228"/>
      <c r="E5" s="228"/>
      <c r="F5" s="228"/>
      <c r="G5" s="228"/>
      <c r="H5" s="67" t="s">
        <v>81</v>
      </c>
      <c r="I5" s="68"/>
      <c r="J5" s="69">
        <v>0.019</v>
      </c>
      <c r="K5" s="67" t="s">
        <v>81</v>
      </c>
      <c r="L5" s="68"/>
      <c r="M5" s="69">
        <v>0.029</v>
      </c>
      <c r="N5" s="67" t="s">
        <v>81</v>
      </c>
      <c r="O5" s="68"/>
      <c r="P5" s="69">
        <v>0.016</v>
      </c>
      <c r="Q5" s="67" t="s">
        <v>99</v>
      </c>
      <c r="R5" s="68"/>
      <c r="S5" s="69">
        <v>0.018</v>
      </c>
      <c r="T5" s="67" t="s">
        <v>99</v>
      </c>
      <c r="U5" s="68"/>
      <c r="V5" s="69">
        <v>0.0179</v>
      </c>
      <c r="W5" s="150" t="s">
        <v>99</v>
      </c>
      <c r="X5" s="151"/>
      <c r="Y5" s="159">
        <v>0.0092</v>
      </c>
    </row>
    <row r="6" spans="1:25" ht="12.75">
      <c r="A6" s="70" t="s">
        <v>82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77"/>
      <c r="U6" s="78"/>
      <c r="V6" s="78"/>
      <c r="W6" s="152"/>
      <c r="X6" s="153"/>
      <c r="Y6" s="160"/>
    </row>
    <row r="7" spans="1:27" ht="12.75" customHeight="1">
      <c r="A7" s="79" t="s">
        <v>83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90">
        <f>H7+(H7*$M$5)</f>
        <v>68.155815</v>
      </c>
      <c r="L7" s="191">
        <f>K7*366/12</f>
        <v>2078.7523575</v>
      </c>
      <c r="M7" s="192" t="s">
        <v>11</v>
      </c>
      <c r="N7" s="190">
        <v>76</v>
      </c>
      <c r="O7" s="191">
        <f>N7*365/12</f>
        <v>2311.6666666666665</v>
      </c>
      <c r="P7" s="192" t="s">
        <v>11</v>
      </c>
      <c r="Q7" s="190">
        <f>N7+(N7*1.8%)</f>
        <v>77.368</v>
      </c>
      <c r="R7" s="191">
        <f>Q7*365/12</f>
        <v>2353.2766666666666</v>
      </c>
      <c r="S7" s="192"/>
      <c r="T7" s="190">
        <f>Q7+(Q7*V5)</f>
        <v>78.75288719999999</v>
      </c>
      <c r="U7" s="191">
        <f>T7*365/12</f>
        <v>2395.400319</v>
      </c>
      <c r="V7" s="192"/>
      <c r="W7" s="193">
        <f>T7+(T7*$Y$5)</f>
        <v>79.47741376223999</v>
      </c>
      <c r="X7" s="194">
        <f>W7*366/12</f>
        <v>2424.06111974832</v>
      </c>
      <c r="Y7" s="156"/>
      <c r="AA7" s="125"/>
    </row>
    <row r="8" spans="1:25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90" t="s">
        <v>11</v>
      </c>
      <c r="L8" s="195" t="s">
        <v>11</v>
      </c>
      <c r="M8" s="192" t="s">
        <v>11</v>
      </c>
      <c r="N8" s="190" t="s">
        <v>11</v>
      </c>
      <c r="O8" s="195" t="s">
        <v>11</v>
      </c>
      <c r="P8" s="192" t="s">
        <v>11</v>
      </c>
      <c r="Q8" s="190"/>
      <c r="R8" s="195"/>
      <c r="S8" s="192"/>
      <c r="T8" s="190"/>
      <c r="U8" s="195"/>
      <c r="V8" s="192"/>
      <c r="W8" s="193"/>
      <c r="X8" s="196"/>
      <c r="Y8" s="156"/>
    </row>
    <row r="9" spans="1:25" ht="12.75">
      <c r="A9" s="62" t="s">
        <v>84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90" t="s">
        <v>11</v>
      </c>
      <c r="L9" s="195" t="s">
        <v>11</v>
      </c>
      <c r="M9" s="192" t="s">
        <v>11</v>
      </c>
      <c r="N9" s="190" t="s">
        <v>11</v>
      </c>
      <c r="O9" s="195" t="s">
        <v>11</v>
      </c>
      <c r="P9" s="192" t="s">
        <v>11</v>
      </c>
      <c r="Q9" s="190"/>
      <c r="R9" s="195"/>
      <c r="S9" s="192"/>
      <c r="T9" s="190"/>
      <c r="U9" s="195"/>
      <c r="V9" s="192"/>
      <c r="W9" s="193"/>
      <c r="X9" s="196"/>
      <c r="Y9" s="156"/>
    </row>
    <row r="10" spans="1:25" ht="12.75">
      <c r="A10" s="79" t="s">
        <v>85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90">
        <v>15</v>
      </c>
      <c r="L10" s="191">
        <f>K10*366/12</f>
        <v>457.5</v>
      </c>
      <c r="M10" s="192" t="s">
        <v>11</v>
      </c>
      <c r="N10" s="190">
        <f>K10+(K10*$P$5)</f>
        <v>15.24</v>
      </c>
      <c r="O10" s="191">
        <f>N10*365/12</f>
        <v>463.55</v>
      </c>
      <c r="P10" s="192" t="s">
        <v>11</v>
      </c>
      <c r="Q10" s="190">
        <f>N10+(N10*1.8%)</f>
        <v>15.51432</v>
      </c>
      <c r="R10" s="191">
        <f>Q10*365/12</f>
        <v>471.8939</v>
      </c>
      <c r="S10" s="192"/>
      <c r="T10" s="190">
        <f>Q10+(Q10*1.79%)</f>
        <v>15.792026328</v>
      </c>
      <c r="U10" s="191">
        <f>T10*365/12</f>
        <v>480.34080081</v>
      </c>
      <c r="V10" s="192"/>
      <c r="W10" s="193">
        <f>T10+(T10*$Y$5)</f>
        <v>15.9373129702176</v>
      </c>
      <c r="X10" s="194">
        <f>W10*366/12</f>
        <v>486.0880455916368</v>
      </c>
      <c r="Y10" s="156"/>
    </row>
    <row r="11" spans="1:25" ht="12.75">
      <c r="A11" s="79" t="s">
        <v>86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90">
        <v>32</v>
      </c>
      <c r="L11" s="191">
        <f>K11*366/12</f>
        <v>976</v>
      </c>
      <c r="M11" s="192" t="s">
        <v>11</v>
      </c>
      <c r="N11" s="190">
        <f>K11+(K11*$P$5)</f>
        <v>32.512</v>
      </c>
      <c r="O11" s="191">
        <f>N11*365/12</f>
        <v>988.9066666666668</v>
      </c>
      <c r="P11" s="192" t="s">
        <v>11</v>
      </c>
      <c r="Q11" s="190">
        <f>N11+(N11*1.8%)</f>
        <v>33.097216</v>
      </c>
      <c r="R11" s="191">
        <f>Q11*365/12</f>
        <v>1006.7069866666667</v>
      </c>
      <c r="S11" s="192"/>
      <c r="T11" s="190">
        <f>Q11+(Q11*V5)</f>
        <v>33.689656166400006</v>
      </c>
      <c r="U11" s="191">
        <f>T11*365/12</f>
        <v>1024.7270417280001</v>
      </c>
      <c r="V11" s="192"/>
      <c r="W11" s="193">
        <f>T11+(T11*$Y$5)</f>
        <v>33.999601003130884</v>
      </c>
      <c r="X11" s="194">
        <f>W11*366/12</f>
        <v>1036.987830595492</v>
      </c>
      <c r="Y11" s="156"/>
    </row>
    <row r="12" spans="1:25" ht="12.75">
      <c r="A12" s="79" t="s">
        <v>87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90">
        <v>32</v>
      </c>
      <c r="L12" s="191">
        <f>K12*366/12</f>
        <v>976</v>
      </c>
      <c r="M12" s="192" t="s">
        <v>11</v>
      </c>
      <c r="N12" s="190">
        <f>K12+(K12*$P$5)</f>
        <v>32.512</v>
      </c>
      <c r="O12" s="191">
        <f>N12*365/12</f>
        <v>988.9066666666668</v>
      </c>
      <c r="P12" s="192" t="s">
        <v>11</v>
      </c>
      <c r="Q12" s="190">
        <f>N12+(N12*1.8%)</f>
        <v>33.097216</v>
      </c>
      <c r="R12" s="191">
        <f>Q12*365/12</f>
        <v>1006.7069866666667</v>
      </c>
      <c r="S12" s="192"/>
      <c r="T12" s="190">
        <f>Q12+(Q12*V5)</f>
        <v>33.689656166400006</v>
      </c>
      <c r="U12" s="191">
        <f>T12*365/12</f>
        <v>1024.7270417280001</v>
      </c>
      <c r="V12" s="192"/>
      <c r="W12" s="193">
        <f>T12+(T12*$Y$5)</f>
        <v>33.999601003130884</v>
      </c>
      <c r="X12" s="194">
        <f>W12*366/12</f>
        <v>1036.987830595492</v>
      </c>
      <c r="Y12" s="156"/>
    </row>
    <row r="13" spans="1:25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90" t="s">
        <v>11</v>
      </c>
      <c r="L13" s="195" t="s">
        <v>11</v>
      </c>
      <c r="M13" s="192" t="s">
        <v>11</v>
      </c>
      <c r="N13" s="190" t="s">
        <v>11</v>
      </c>
      <c r="O13" s="195" t="s">
        <v>11</v>
      </c>
      <c r="P13" s="192" t="s">
        <v>11</v>
      </c>
      <c r="Q13" s="190"/>
      <c r="R13" s="195"/>
      <c r="S13" s="192"/>
      <c r="T13" s="190"/>
      <c r="U13" s="195"/>
      <c r="V13" s="192"/>
      <c r="W13" s="193"/>
      <c r="X13" s="196"/>
      <c r="Y13" s="156"/>
    </row>
    <row r="14" spans="1:25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90" t="s">
        <v>11</v>
      </c>
      <c r="L14" s="195" t="s">
        <v>11</v>
      </c>
      <c r="M14" s="192" t="s">
        <v>11</v>
      </c>
      <c r="N14" s="190" t="s">
        <v>11</v>
      </c>
      <c r="O14" s="195" t="s">
        <v>11</v>
      </c>
      <c r="P14" s="192" t="s">
        <v>11</v>
      </c>
      <c r="Q14" s="190"/>
      <c r="R14" s="195"/>
      <c r="S14" s="192"/>
      <c r="T14" s="190"/>
      <c r="U14" s="195"/>
      <c r="V14" s="192"/>
      <c r="W14" s="193"/>
      <c r="X14" s="196"/>
      <c r="Y14" s="156"/>
    </row>
    <row r="15" spans="1:25" ht="12.75">
      <c r="A15" s="79" t="s">
        <v>88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90">
        <f>H15+(H15*$M$5)</f>
        <v>79.233</v>
      </c>
      <c r="L15" s="195">
        <f>SUM(L10:L12)</f>
        <v>2409.5</v>
      </c>
      <c r="M15" s="192" t="s">
        <v>11</v>
      </c>
      <c r="N15" s="190">
        <f>K15+(K15*$P$5)</f>
        <v>80.50072800000001</v>
      </c>
      <c r="O15" s="195">
        <f>N15*365/12</f>
        <v>2448.56381</v>
      </c>
      <c r="P15" s="192" t="s">
        <v>11</v>
      </c>
      <c r="Q15" s="190">
        <v>82</v>
      </c>
      <c r="R15" s="195">
        <v>2480</v>
      </c>
      <c r="S15" s="192"/>
      <c r="T15" s="190">
        <f>SUM(T10:T14)+1</f>
        <v>84.17133866080002</v>
      </c>
      <c r="U15" s="195">
        <f>SUM(U10:U14)</f>
        <v>2529.7948842660003</v>
      </c>
      <c r="V15" s="192"/>
      <c r="W15" s="193">
        <f>T15+(T15*$Y$5)</f>
        <v>84.94571497647938</v>
      </c>
      <c r="X15" s="196">
        <f>W15*366/12</f>
        <v>2590.844306782621</v>
      </c>
      <c r="Y15" s="156"/>
    </row>
    <row r="16" spans="1:25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97"/>
      <c r="L16" s="198"/>
      <c r="M16" s="199"/>
      <c r="N16" s="197"/>
      <c r="O16" s="198"/>
      <c r="P16" s="199"/>
      <c r="Q16" s="197"/>
      <c r="R16" s="198"/>
      <c r="S16" s="199"/>
      <c r="T16" s="197"/>
      <c r="U16" s="198"/>
      <c r="V16" s="199"/>
      <c r="W16" s="200"/>
      <c r="X16" s="201"/>
      <c r="Y16" s="154"/>
    </row>
    <row r="17" spans="1:25" ht="12.75">
      <c r="A17" s="229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30"/>
      <c r="I17" s="231"/>
      <c r="J17" s="230"/>
      <c r="K17" s="219"/>
      <c r="L17" s="232"/>
      <c r="M17" s="219"/>
      <c r="N17" s="219"/>
      <c r="O17" s="232"/>
      <c r="P17" s="219"/>
      <c r="Q17" s="219"/>
      <c r="R17" s="232"/>
      <c r="S17" s="219"/>
      <c r="T17" s="219"/>
      <c r="U17" s="232"/>
      <c r="V17" s="219"/>
      <c r="W17" s="219"/>
      <c r="X17" s="232"/>
      <c r="Y17" s="233"/>
    </row>
    <row r="18" spans="1:25" ht="16.5" customHeight="1" thickBot="1">
      <c r="A18" s="258" t="s">
        <v>136</v>
      </c>
      <c r="B18" s="259"/>
      <c r="C18" s="259"/>
      <c r="D18" s="259"/>
      <c r="E18" s="259"/>
      <c r="F18" s="259"/>
      <c r="G18" s="259"/>
      <c r="H18" s="225"/>
      <c r="I18" s="226"/>
      <c r="J18" s="225"/>
      <c r="K18" s="68"/>
      <c r="L18" s="227"/>
      <c r="M18" s="68"/>
      <c r="N18" s="68"/>
      <c r="O18" s="227"/>
      <c r="P18" s="68"/>
      <c r="Q18" s="68"/>
      <c r="R18" s="227"/>
      <c r="S18" s="68"/>
      <c r="T18" s="68"/>
      <c r="U18" s="227"/>
      <c r="V18" s="68"/>
      <c r="W18" s="68"/>
      <c r="X18" s="227"/>
      <c r="Y18" s="234"/>
    </row>
    <row r="19" spans="1:25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202" t="s">
        <v>11</v>
      </c>
      <c r="L19" s="203" t="s">
        <v>11</v>
      </c>
      <c r="M19" s="204" t="s">
        <v>11</v>
      </c>
      <c r="N19" s="202" t="s">
        <v>11</v>
      </c>
      <c r="O19" s="203" t="s">
        <v>11</v>
      </c>
      <c r="P19" s="204" t="s">
        <v>11</v>
      </c>
      <c r="Q19" s="202"/>
      <c r="R19" s="203"/>
      <c r="S19" s="204"/>
      <c r="T19" s="202"/>
      <c r="U19" s="203"/>
      <c r="V19" s="204"/>
      <c r="W19" s="205"/>
      <c r="X19" s="206"/>
      <c r="Y19" s="155"/>
    </row>
    <row r="20" spans="1:25" ht="12.75" customHeight="1">
      <c r="A20" s="145" t="s">
        <v>140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90">
        <f>H20+(H20*$M$5)</f>
        <v>108.045</v>
      </c>
      <c r="L20" s="191">
        <f>I20+(I20*$M$5)</f>
        <v>3261.93</v>
      </c>
      <c r="M20" s="192" t="s">
        <v>11</v>
      </c>
      <c r="N20" s="190">
        <v>109</v>
      </c>
      <c r="O20" s="191">
        <f>N20*365/12</f>
        <v>3315.4166666666665</v>
      </c>
      <c r="P20" s="192" t="s">
        <v>11</v>
      </c>
      <c r="Q20" s="190">
        <v>111</v>
      </c>
      <c r="R20" s="191">
        <v>3374</v>
      </c>
      <c r="S20" s="192"/>
      <c r="T20" s="190">
        <f>Q20+(Q20*V5)</f>
        <v>112.9869</v>
      </c>
      <c r="U20" s="191">
        <v>3425</v>
      </c>
      <c r="V20" s="192"/>
      <c r="W20" s="193">
        <f>T20+(T20*$Y$5)</f>
        <v>114.02637948</v>
      </c>
      <c r="X20" s="194">
        <f>W20*366/12</f>
        <v>3477.80457414</v>
      </c>
      <c r="Y20" s="156"/>
    </row>
    <row r="21" spans="1:25" ht="12.75">
      <c r="A21" s="145" t="s">
        <v>141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90">
        <f>H21+(H21*$M$5)</f>
        <v>56.595</v>
      </c>
      <c r="L21" s="191">
        <f>I21+(I21*$M$5)</f>
        <v>1713.285</v>
      </c>
      <c r="M21" s="192" t="s">
        <v>11</v>
      </c>
      <c r="N21" s="190">
        <f>K21+(K21*$P$5)</f>
        <v>57.50052</v>
      </c>
      <c r="O21" s="191">
        <f>N21*365/12</f>
        <v>1748.97415</v>
      </c>
      <c r="P21" s="192" t="s">
        <v>11</v>
      </c>
      <c r="Q21" s="190">
        <f>N21+(N21*S5)</f>
        <v>58.53552936</v>
      </c>
      <c r="R21" s="191">
        <f>Q21*365/12</f>
        <v>1780.4556847000001</v>
      </c>
      <c r="S21" s="192"/>
      <c r="T21" s="190">
        <f>Q21+(Q21*V5)</f>
        <v>59.583315335544</v>
      </c>
      <c r="U21" s="191">
        <v>1825</v>
      </c>
      <c r="V21" s="192"/>
      <c r="W21" s="193">
        <f>T21+(T21*$Y$5)</f>
        <v>60.131481836631</v>
      </c>
      <c r="X21" s="194">
        <f>W21*366/12</f>
        <v>1834.0101960172458</v>
      </c>
      <c r="Y21" s="156"/>
    </row>
    <row r="22" spans="1:25" ht="12.75">
      <c r="A22" s="79" t="s">
        <v>89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90" t="s">
        <v>11</v>
      </c>
      <c r="L22" s="207">
        <f>I22+(I22*$M$5)</f>
        <v>514.5</v>
      </c>
      <c r="M22" s="191"/>
      <c r="N22" s="190" t="s">
        <v>11</v>
      </c>
      <c r="O22" s="207">
        <f>L22+(L22*$P$5)</f>
        <v>522.732</v>
      </c>
      <c r="P22" s="191"/>
      <c r="Q22" s="190"/>
      <c r="R22" s="207">
        <f>O22+(O22*S5)</f>
        <v>532.141176</v>
      </c>
      <c r="S22" s="191"/>
      <c r="T22" s="190"/>
      <c r="U22" s="207">
        <v>541</v>
      </c>
      <c r="V22" s="191"/>
      <c r="W22" s="193"/>
      <c r="X22" s="208">
        <f>U22+(U22*Y5)</f>
        <v>545.9772</v>
      </c>
      <c r="Y22" s="161"/>
    </row>
    <row r="23" spans="1:25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90" t="s">
        <v>11</v>
      </c>
      <c r="L23" s="195" t="s">
        <v>11</v>
      </c>
      <c r="M23" s="192" t="s">
        <v>11</v>
      </c>
      <c r="N23" s="190" t="s">
        <v>11</v>
      </c>
      <c r="O23" s="195" t="s">
        <v>11</v>
      </c>
      <c r="P23" s="192" t="s">
        <v>11</v>
      </c>
      <c r="Q23" s="190"/>
      <c r="R23" s="195"/>
      <c r="S23" s="192"/>
      <c r="T23" s="190"/>
      <c r="U23" s="195"/>
      <c r="V23" s="192"/>
      <c r="W23" s="193"/>
      <c r="X23" s="196"/>
      <c r="Y23" s="156"/>
    </row>
    <row r="24" spans="1:25" ht="12.75">
      <c r="A24" s="79" t="s">
        <v>90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90" t="s">
        <v>11</v>
      </c>
      <c r="L24" s="195" t="s">
        <v>11</v>
      </c>
      <c r="M24" s="192" t="s">
        <v>11</v>
      </c>
      <c r="N24" s="190" t="s">
        <v>11</v>
      </c>
      <c r="O24" s="195" t="s">
        <v>11</v>
      </c>
      <c r="P24" s="192" t="s">
        <v>11</v>
      </c>
      <c r="Q24" s="190"/>
      <c r="R24" s="195"/>
      <c r="S24" s="192"/>
      <c r="T24" s="190"/>
      <c r="U24" s="195"/>
      <c r="V24" s="192"/>
      <c r="W24" s="193"/>
      <c r="X24" s="196"/>
      <c r="Y24" s="156"/>
    </row>
    <row r="25" spans="1:25" ht="12.75">
      <c r="A25" s="79" t="s">
        <v>91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90" t="s">
        <v>11</v>
      </c>
      <c r="L25" s="207">
        <f>I25+(I25*$M$5)</f>
        <v>81.786978</v>
      </c>
      <c r="M25" s="192" t="s">
        <v>11</v>
      </c>
      <c r="N25" s="190" t="s">
        <v>11</v>
      </c>
      <c r="O25" s="207">
        <f>L25+(L25*$P$5)</f>
        <v>83.09556964800001</v>
      </c>
      <c r="P25" s="192" t="s">
        <v>11</v>
      </c>
      <c r="Q25" s="190"/>
      <c r="R25" s="207">
        <f>O25+(O25*S5)</f>
        <v>84.59128990166401</v>
      </c>
      <c r="S25" s="192"/>
      <c r="T25" s="190"/>
      <c r="U25" s="207">
        <f>R25+(R25*V5)</f>
        <v>86.1054739909038</v>
      </c>
      <c r="V25" s="192"/>
      <c r="W25" s="193"/>
      <c r="X25" s="208">
        <f>U25+(U25*Y5)</f>
        <v>86.89764435162012</v>
      </c>
      <c r="Y25" s="156"/>
    </row>
    <row r="26" spans="1:25" ht="12.75">
      <c r="A26" s="79" t="s">
        <v>92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90" t="s">
        <v>11</v>
      </c>
      <c r="L26" s="207">
        <f>I26+(I26*$M$5)</f>
        <v>166.719609</v>
      </c>
      <c r="M26" s="192" t="s">
        <v>11</v>
      </c>
      <c r="N26" s="190" t="s">
        <v>11</v>
      </c>
      <c r="O26" s="207">
        <f>L26+(L26*$P$5)</f>
        <v>169.38712274399998</v>
      </c>
      <c r="P26" s="192" t="s">
        <v>11</v>
      </c>
      <c r="Q26" s="190"/>
      <c r="R26" s="207">
        <f>O26+(O26*S5)</f>
        <v>172.43609095339198</v>
      </c>
      <c r="S26" s="192"/>
      <c r="T26" s="190"/>
      <c r="U26" s="207">
        <f>R26+(R26*V5)</f>
        <v>175.5226969814577</v>
      </c>
      <c r="V26" s="192"/>
      <c r="W26" s="193"/>
      <c r="X26" s="208">
        <f>U26+(U26*Y5)</f>
        <v>177.1375057936871</v>
      </c>
      <c r="Y26" s="156"/>
    </row>
    <row r="27" spans="1:25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90" t="s">
        <v>11</v>
      </c>
      <c r="L27" s="195" t="s">
        <v>11</v>
      </c>
      <c r="M27" s="192" t="s">
        <v>11</v>
      </c>
      <c r="N27" s="190" t="s">
        <v>11</v>
      </c>
      <c r="O27" s="195" t="s">
        <v>11</v>
      </c>
      <c r="P27" s="192" t="s">
        <v>11</v>
      </c>
      <c r="Q27" s="190"/>
      <c r="R27" s="195"/>
      <c r="S27" s="192"/>
      <c r="T27" s="190"/>
      <c r="U27" s="195"/>
      <c r="V27" s="192"/>
      <c r="W27" s="193"/>
      <c r="X27" s="196"/>
      <c r="Y27" s="156"/>
    </row>
    <row r="28" spans="1:25" ht="12.75">
      <c r="A28" s="79" t="s">
        <v>93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90" t="s">
        <v>11</v>
      </c>
      <c r="L28" s="195" t="s">
        <v>11</v>
      </c>
      <c r="M28" s="192" t="s">
        <v>11</v>
      </c>
      <c r="N28" s="190" t="s">
        <v>11</v>
      </c>
      <c r="O28" s="195" t="s">
        <v>11</v>
      </c>
      <c r="P28" s="192" t="s">
        <v>11</v>
      </c>
      <c r="Q28" s="190"/>
      <c r="R28" s="195"/>
      <c r="S28" s="192"/>
      <c r="T28" s="190"/>
      <c r="U28" s="195"/>
      <c r="V28" s="192"/>
      <c r="W28" s="193"/>
      <c r="X28" s="196"/>
      <c r="Y28" s="156"/>
    </row>
    <row r="29" spans="1:25" ht="12.75">
      <c r="A29" s="79" t="s">
        <v>94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90" t="s">
        <v>11</v>
      </c>
      <c r="L29" s="195"/>
      <c r="M29" s="192">
        <f>J29+(J29*$M$5)</f>
        <v>67.107264</v>
      </c>
      <c r="N29" s="190" t="s">
        <v>11</v>
      </c>
      <c r="O29" s="195"/>
      <c r="P29" s="192">
        <f>M29+(M29*$P$5)</f>
        <v>68.180980224</v>
      </c>
      <c r="Q29" s="190"/>
      <c r="R29" s="195"/>
      <c r="S29" s="192">
        <f>P29+(P29*$S$5)</f>
        <v>69.40823786803199</v>
      </c>
      <c r="T29" s="190"/>
      <c r="U29" s="195"/>
      <c r="V29" s="192"/>
      <c r="W29" s="193"/>
      <c r="X29" s="196"/>
      <c r="Y29" s="156"/>
    </row>
    <row r="30" spans="1:25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209"/>
      <c r="L30" s="210"/>
      <c r="M30" s="199"/>
      <c r="N30" s="209"/>
      <c r="O30" s="210"/>
      <c r="P30" s="199"/>
      <c r="Q30" s="209"/>
      <c r="R30" s="210"/>
      <c r="S30" s="199"/>
      <c r="T30" s="209"/>
      <c r="U30" s="210"/>
      <c r="V30" s="199"/>
      <c r="W30" s="200"/>
      <c r="X30" s="201"/>
      <c r="Y30" s="154"/>
    </row>
    <row r="31" spans="1:25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30"/>
      <c r="I31" s="230"/>
      <c r="J31" s="230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33"/>
    </row>
    <row r="32" spans="1:25" ht="15.75" customHeight="1" thickBot="1">
      <c r="A32" s="251" t="s">
        <v>138</v>
      </c>
      <c r="B32" s="252"/>
      <c r="C32" s="252"/>
      <c r="D32" s="252"/>
      <c r="E32" s="252"/>
      <c r="F32" s="252"/>
      <c r="G32" s="252"/>
      <c r="H32" s="230"/>
      <c r="I32" s="230"/>
      <c r="J32" s="230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33"/>
    </row>
    <row r="33" spans="1:25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202" t="s">
        <v>11</v>
      </c>
      <c r="L33" s="212" t="s">
        <v>11</v>
      </c>
      <c r="M33" s="213" t="s">
        <v>11</v>
      </c>
      <c r="N33" s="202" t="s">
        <v>11</v>
      </c>
      <c r="O33" s="212" t="s">
        <v>11</v>
      </c>
      <c r="P33" s="213" t="s">
        <v>11</v>
      </c>
      <c r="Q33" s="202"/>
      <c r="R33" s="212"/>
      <c r="S33" s="213"/>
      <c r="T33" s="202"/>
      <c r="U33" s="212"/>
      <c r="V33" s="213"/>
      <c r="W33" s="205"/>
      <c r="X33" s="214"/>
      <c r="Y33" s="155"/>
    </row>
    <row r="34" spans="1:25" ht="12.75" customHeight="1">
      <c r="A34" s="145" t="s">
        <v>139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90">
        <f>H34+(H34*$M$5)</f>
        <v>108.045</v>
      </c>
      <c r="L34" s="191">
        <f>I34+(I34*$M$5)</f>
        <v>3261.93</v>
      </c>
      <c r="M34" s="215" t="s">
        <v>11</v>
      </c>
      <c r="N34" s="190">
        <v>109</v>
      </c>
      <c r="O34" s="191">
        <f>N34*365/12</f>
        <v>3315.4166666666665</v>
      </c>
      <c r="P34" s="215" t="s">
        <v>11</v>
      </c>
      <c r="Q34" s="190">
        <v>111</v>
      </c>
      <c r="R34" s="191">
        <v>3367</v>
      </c>
      <c r="S34" s="215"/>
      <c r="T34" s="190">
        <f>Q34+(Q34*V5)</f>
        <v>112.9869</v>
      </c>
      <c r="U34" s="191">
        <v>3425</v>
      </c>
      <c r="V34" s="215"/>
      <c r="W34" s="193">
        <f>T34+(T34*$Y$5)</f>
        <v>114.02637948</v>
      </c>
      <c r="X34" s="194">
        <f>W34*366/12</f>
        <v>3477.80457414</v>
      </c>
      <c r="Y34" s="156"/>
    </row>
    <row r="35" spans="1:25" ht="12.75">
      <c r="A35" s="145" t="s">
        <v>141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90">
        <f>H35+(H35*$M$5)</f>
        <v>56.595</v>
      </c>
      <c r="L35" s="191">
        <f>I35+(I35*$M$5)</f>
        <v>1713.285</v>
      </c>
      <c r="M35" s="215" t="s">
        <v>11</v>
      </c>
      <c r="N35" s="190">
        <f>K35+(K35*$P$5)</f>
        <v>57.50052</v>
      </c>
      <c r="O35" s="191">
        <f>N35*365/12</f>
        <v>1748.97415</v>
      </c>
      <c r="P35" s="215" t="s">
        <v>11</v>
      </c>
      <c r="Q35" s="190">
        <f>Q21</f>
        <v>58.53552936</v>
      </c>
      <c r="R35" s="191">
        <f>Q35*365/12</f>
        <v>1780.4556847000001</v>
      </c>
      <c r="S35" s="215"/>
      <c r="T35" s="190">
        <f>Q35+(Q35*V5)</f>
        <v>59.583315335544</v>
      </c>
      <c r="U35" s="191">
        <v>1825</v>
      </c>
      <c r="V35" s="215"/>
      <c r="W35" s="193">
        <f>T35+(T35*$Y$5)</f>
        <v>60.131481836631</v>
      </c>
      <c r="X35" s="194">
        <f>W35*366/12</f>
        <v>1834.0101960172458</v>
      </c>
      <c r="Y35" s="156"/>
    </row>
    <row r="36" spans="1:25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209" t="s">
        <v>11</v>
      </c>
      <c r="L36" s="216" t="s">
        <v>11</v>
      </c>
      <c r="M36" s="211" t="s">
        <v>11</v>
      </c>
      <c r="N36" s="209" t="s">
        <v>11</v>
      </c>
      <c r="O36" s="216" t="s">
        <v>11</v>
      </c>
      <c r="P36" s="211" t="s">
        <v>11</v>
      </c>
      <c r="Q36" s="209"/>
      <c r="R36" s="216"/>
      <c r="S36" s="211"/>
      <c r="T36" s="209"/>
      <c r="U36" s="216"/>
      <c r="V36" s="211"/>
      <c r="W36" s="200"/>
      <c r="X36" s="217"/>
      <c r="Y36" s="154"/>
    </row>
    <row r="37" spans="1:19" ht="12.75">
      <c r="A37" s="144" t="s">
        <v>143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142</v>
      </c>
    </row>
  </sheetData>
  <sheetProtection/>
  <mergeCells count="10">
    <mergeCell ref="K2:M2"/>
    <mergeCell ref="A32:G32"/>
    <mergeCell ref="Q2:S2"/>
    <mergeCell ref="D2:G2"/>
    <mergeCell ref="H2:J2"/>
    <mergeCell ref="A1:Y1"/>
    <mergeCell ref="N2:P2"/>
    <mergeCell ref="A18:G18"/>
    <mergeCell ref="W2:Y2"/>
    <mergeCell ref="T2:V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BYR-01-12-2015 - Bilag 529.01 Takster 2016 Special og ældreområdet madservice og ophold</dc:title>
  <dc:subject>ØVRIGE</dc:subject>
  <dc:creator>SOPO</dc:creator>
  <cp:keywords/>
  <dc:description/>
  <cp:lastModifiedBy>Jan Hansen</cp:lastModifiedBy>
  <cp:lastPrinted>2015-12-02T10:45:28Z</cp:lastPrinted>
  <dcterms:created xsi:type="dcterms:W3CDTF">1996-11-12T13:28:11Z</dcterms:created>
  <dcterms:modified xsi:type="dcterms:W3CDTF">2015-12-02T10:45:31Z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01-12-2015</vt:lpwstr>
  </property>
  <property fmtid="{D5CDD505-2E9C-101B-9397-08002B2CF9AE}" pid="5" name="MeetingDateAndTi">
    <vt:lpwstr>01-12-2015 fra 18:00 - 20:10</vt:lpwstr>
  </property>
  <property fmtid="{D5CDD505-2E9C-101B-9397-08002B2CF9AE}" pid="6" name="AccessLevelNa">
    <vt:lpwstr>Åben</vt:lpwstr>
  </property>
  <property fmtid="{D5CDD505-2E9C-101B-9397-08002B2CF9AE}" pid="7" name="Fusion">
    <vt:lpwstr>1986613</vt:lpwstr>
  </property>
  <property fmtid="{D5CDD505-2E9C-101B-9397-08002B2CF9AE}" pid="8" name="SortOrd">
    <vt:lpwstr>1</vt:lpwstr>
  </property>
  <property fmtid="{D5CDD505-2E9C-101B-9397-08002B2CF9AE}" pid="9" name="MeetingEndDa">
    <vt:lpwstr>2015-12-01T20:10:00Z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139437/15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2015-12-01T18:00:00Z</vt:lpwstr>
  </property>
  <property fmtid="{D5CDD505-2E9C-101B-9397-08002B2CF9AE}" pid="14" name="PWDescripti">
    <vt:lpwstr/>
  </property>
  <property fmtid="{D5CDD505-2E9C-101B-9397-08002B2CF9AE}" pid="15" name="U">
    <vt:lpwstr>1790595</vt:lpwstr>
  </property>
  <property fmtid="{D5CDD505-2E9C-101B-9397-08002B2CF9AE}" pid="16" name="PWFileTy">
    <vt:lpwstr>.XLS</vt:lpwstr>
  </property>
  <property fmtid="{D5CDD505-2E9C-101B-9397-08002B2CF9AE}" pid="17" name="Agenda">
    <vt:lpwstr>4633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